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25" windowWidth="13740" windowHeight="6900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<sst xmlns="http://schemas.openxmlformats.org/spreadsheetml/2006/main" count="96" uniqueCount="86">
  <si>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</si>
  <si>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</si>
  <si>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</si>
  <si>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</si>
  <si>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</si>
  <si>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</si>
  <si>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</si>
  <si>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</si>
  <si>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</si>
  <si>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</si>
  <si>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</si>
  <si>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</si>
  <si>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</si>
  <si>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</si>
  <si>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</si>
  <si>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</si>
  <si>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</si>
  <si>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</si>
  <si>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</si>
  <si>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</si>
  <si>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</si>
  <si>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</si>
  <si>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</si>
  <si>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</si>
  <si>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</si>
  <si>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</si>
  <si>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</si>
  <si>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</si>
  <si>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</si>
  <si>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</si>
  <si>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</si>
  <si>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</si>
  <si>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</si>
  <si>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</si>
  <si>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</si>
  <si>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</si>
  <si>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</si>
  <si>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</si>
  <si>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</si>
  <si>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</si>
  <si>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</si>
  <si>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</si>
  <si>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</si>
  <si>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</si>
  <si>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</si>
  <si>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</si>
  <si>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</si>
  <si>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</si>
  <si>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</si>
  <si>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</si>
  <si>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</si>
  <si>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</si>
  <si>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</si>
  <si>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</si>
  <si>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</si>
  <si>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</si>
  <si>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</si>
  <si>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</si>
  <si>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</si>
  <si>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</si>
  <si>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</si>
  <si>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</si>
  <si>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</si>
  <si>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</si>
  <si>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</si>
  <si>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</si>
  <si>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</si>
  <si>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</si>
  <si>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</si>
  <si>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</si>
  <si>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</si>
  <si>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</si>
  <si>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</si>
  <si>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</si>
  <si>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</si>
  <si>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</si>
  <si>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</si>
  <si>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</si>
  <si>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</si>
  <si>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</si>
  <si>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</si>
  <si>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</si>
  <si>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</si>
  <si>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</si>
  <si>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CIFRAS  AL 31 DE MARZO DE 2013 Y 2012</t>
  </si>
  <si>
    <t>CREDIQ, S.A. DE C.V. Y SUBSIDIARIA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</si>
</sst>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8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2" fillId="0" borderId="0" xfId="4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8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12" fillId="0" borderId="10" xfId="48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horizontal="right" vertical="center"/>
    </xf>
    <xf numFmtId="43" fontId="10" fillId="0" borderId="10" xfId="48" applyNumberFormat="1" applyFont="1" applyBorder="1" applyAlignment="1">
      <alignment vertical="center"/>
    </xf>
    <xf numFmtId="176" fontId="10" fillId="0" borderId="11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8" applyNumberFormat="1" applyFont="1" applyFill="1" applyBorder="1" applyAlignment="1">
      <alignment horizontal="right" vertical="center"/>
    </xf>
    <xf numFmtId="166" fontId="10" fillId="0" borderId="10" xfId="48" applyNumberFormat="1" applyFont="1" applyFill="1" applyBorder="1" applyAlignment="1">
      <alignment vertical="center"/>
    </xf>
    <xf numFmtId="166" fontId="10" fillId="0" borderId="10" xfId="48" applyNumberFormat="1" applyFont="1" applyFill="1" applyBorder="1" applyAlignment="1">
      <alignment horizontal="right" vertical="center"/>
    </xf>
    <xf numFmtId="166" fontId="9" fillId="0" borderId="10" xfId="48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3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7781925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7781925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1">
      <selection activeCell="B1" sqref="B1:D1"/>
    </sheetView>
  </sheetViews>
  <sheetFormatPr defaultColWidth="0" defaultRowHeight="12.75" zeroHeight="1"/>
  <cols>
    <col min="1" max="1" width="3.140625" style="0" customWidth="1"/>
    <col min="2" max="2" width="77.57421875" style="0" bestFit="1" customWidth="1"/>
    <col min="3" max="4" width="18.00390625" style="0" bestFit="1" customWidth="1"/>
    <col min="5" max="5" width="14.140625" style="0" bestFit="1" customWidth="1"/>
    <col min="6" max="6" width="11.421875" style="0" customWidth="1"/>
    <col min="7" max="16384" width="0" style="0" hidden="1" customWidth="1"/>
  </cols>
  <sheetData>
    <row r="1" spans="2:5" ht="20.25">
      <c r="B1" s="38" t="s">
        <v>85</v>
      </c>
      <c r="C1" s="38"/>
      <c r="D1" s="38"/>
      <c r="E1" s="16"/>
    </row>
    <row r="2" spans="2:5" ht="19.5" customHeight="1">
      <c r="B2" s="37" t="s">
        <v>84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2013</v>
      </c>
      <c r="D4" s="30">
        <v>2012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4389363.36/1000</f>
        <v>4389.36336</v>
      </c>
      <c r="D7" s="33">
        <f>3070750.1/1000</f>
        <v>3070.7501</v>
      </c>
    </row>
    <row r="8" spans="1:4" s="3" customFormat="1" ht="21.75" customHeight="1">
      <c r="A8" s="2"/>
      <c r="B8" s="13" t="s">
        <v>59</v>
      </c>
      <c r="C8" s="23">
        <f>(25323870.48)/1000</f>
        <v>25323.87048</v>
      </c>
      <c r="D8" s="23">
        <f>(1610038.56+17319485.53+64320.11-235873.78)/1000</f>
        <v>18757.970419999998</v>
      </c>
    </row>
    <row r="9" spans="1:4" s="3" customFormat="1" ht="21.75" customHeight="1">
      <c r="A9" s="2"/>
      <c r="B9" s="13" t="s">
        <v>80</v>
      </c>
      <c r="C9" s="34">
        <f>561625.35/1000</f>
        <v>561.62535</v>
      </c>
      <c r="D9" s="34">
        <f>108450.69/1000</f>
        <v>108.45069000000001</v>
      </c>
    </row>
    <row r="10" spans="1:4" s="3" customFormat="1" ht="21.75" customHeight="1">
      <c r="A10" s="2"/>
      <c r="B10" s="13" t="s">
        <v>53</v>
      </c>
      <c r="C10" s="34">
        <f>(50000)/1000</f>
        <v>50</v>
      </c>
      <c r="D10" s="34">
        <f>(50000)/1000</f>
        <v>50</v>
      </c>
    </row>
    <row r="11" spans="1:4" s="3" customFormat="1" ht="21.75" customHeight="1">
      <c r="A11" s="2"/>
      <c r="B11" s="13" t="s">
        <v>0</v>
      </c>
      <c r="C11" s="34">
        <f>+(238162.24)/1000</f>
        <v>238.16224</v>
      </c>
      <c r="D11" s="34">
        <f>+(123980.91)/1000</f>
        <v>123.98091000000001</v>
      </c>
    </row>
    <row r="12" spans="1:4" s="3" customFormat="1" ht="21.75" customHeight="1">
      <c r="A12" s="2"/>
      <c r="B12" s="13" t="s">
        <v>1</v>
      </c>
      <c r="C12" s="34">
        <f>664233.9/1000</f>
        <v>664.2339000000001</v>
      </c>
      <c r="D12" s="34">
        <f>418426.2/1000</f>
        <v>418.4262</v>
      </c>
    </row>
    <row r="13" spans="1:4" s="3" customFormat="1" ht="21.75" customHeight="1">
      <c r="A13" s="2"/>
      <c r="B13" s="13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13" t="s">
        <v>65</v>
      </c>
      <c r="C14" s="34">
        <v>0</v>
      </c>
      <c r="D14" s="34">
        <f>(21223.18)/1000</f>
        <v>21.22318</v>
      </c>
    </row>
    <row r="15" spans="1:4" s="3" customFormat="1" ht="21.75" customHeight="1">
      <c r="A15" s="2"/>
      <c r="B15" s="13" t="s">
        <v>56</v>
      </c>
      <c r="C15" s="34">
        <v>0</v>
      </c>
      <c r="D15" s="34">
        <v>0</v>
      </c>
    </row>
    <row r="16" spans="1:4" s="5" customFormat="1" ht="21.75" customHeight="1">
      <c r="A16" s="4"/>
      <c r="B16" s="12" t="s">
        <v>8</v>
      </c>
      <c r="C16" s="35">
        <f>SUM(C7:C15)</f>
        <v>31227.25533</v>
      </c>
      <c r="D16" s="35">
        <f>SUM(D7:D15)</f>
        <v>22550.8015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>
        <f>(333452.63)/1000</f>
        <v>333.45263</v>
      </c>
      <c r="D18" s="34">
        <f>(289136.26)/1000</f>
        <v>289.13626</v>
      </c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13" t="s">
        <v>82</v>
      </c>
      <c r="C20" s="34">
        <f>49911568.2/1000</f>
        <v>49911.5682</v>
      </c>
      <c r="D20" s="34">
        <f>32602066.11/1000</f>
        <v>32602.06611</v>
      </c>
    </row>
    <row r="21" spans="1:4" s="3" customFormat="1" ht="21.75" customHeight="1">
      <c r="A21" s="2"/>
      <c r="B21" s="13" t="s">
        <v>53</v>
      </c>
      <c r="C21" s="34">
        <f>10/1000</f>
        <v>0.01</v>
      </c>
      <c r="D21" s="34">
        <v>0.1</v>
      </c>
    </row>
    <row r="22" spans="1:4" s="3" customFormat="1" ht="21.75" customHeight="1">
      <c r="A22" s="2"/>
      <c r="B22" s="13" t="s">
        <v>57</v>
      </c>
      <c r="C22" s="34">
        <f>(55461.31)/1000</f>
        <v>55.46131</v>
      </c>
      <c r="D22" s="34">
        <f>(117410.25)/1000</f>
        <v>117.41025</v>
      </c>
    </row>
    <row r="23" spans="1:4" s="3" customFormat="1" ht="21.75" customHeight="1">
      <c r="A23" s="2"/>
      <c r="B23" s="13" t="s">
        <v>64</v>
      </c>
      <c r="C23" s="34">
        <f>226600.83/1000</f>
        <v>226.60082999999997</v>
      </c>
      <c r="D23" s="34">
        <f>0/1000</f>
        <v>0</v>
      </c>
    </row>
    <row r="24" spans="1:4" s="3" customFormat="1" ht="21.75" customHeight="1">
      <c r="A24" s="2"/>
      <c r="B24" s="13" t="s">
        <v>56</v>
      </c>
      <c r="C24" s="34">
        <f>(385579.48-226600.83)/1000</f>
        <v>158.97865</v>
      </c>
      <c r="D24" s="34">
        <f>0/1000</f>
        <v>0</v>
      </c>
    </row>
    <row r="25" spans="1:4" s="5" customFormat="1" ht="21.75" customHeight="1">
      <c r="A25" s="4"/>
      <c r="B25" s="12" t="s">
        <v>9</v>
      </c>
      <c r="C25" s="24">
        <f>SUM(C18:C24)</f>
        <v>50686.07162</v>
      </c>
      <c r="D25" s="24">
        <f>SUM(D18:D24)</f>
        <v>33008.71262</v>
      </c>
    </row>
    <row r="26" spans="1:4" s="5" customFormat="1" ht="21.75" customHeight="1">
      <c r="A26" s="4"/>
      <c r="B26" s="12" t="s">
        <v>15</v>
      </c>
      <c r="C26" s="32">
        <f>+C16+C25</f>
        <v>81913.32695</v>
      </c>
      <c r="D26" s="32">
        <f>+D16+D25</f>
        <v>55559.51412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(1250085.77-1134930.99-30789.75+647982.38-27419.4)/1000</f>
        <v>704.92801</v>
      </c>
      <c r="D29" s="34">
        <f>(201206.08+145233.63-52898.88)/1000</f>
        <v>293.54082999999997</v>
      </c>
    </row>
    <row r="30" spans="1:4" s="3" customFormat="1" ht="21.75" customHeight="1">
      <c r="A30" s="2"/>
      <c r="B30" s="13" t="s">
        <v>61</v>
      </c>
      <c r="C30" s="34">
        <v>0</v>
      </c>
      <c r="D30" s="34">
        <v>0</v>
      </c>
    </row>
    <row r="31" spans="1:4" s="3" customFormat="1" ht="21.75" customHeight="1">
      <c r="A31" s="2"/>
      <c r="B31" s="13" t="s">
        <v>62</v>
      </c>
      <c r="C31" s="34">
        <f>15849572.93/1000</f>
        <v>15849.57293</v>
      </c>
      <c r="D31" s="34">
        <f>9006500.5/1000</f>
        <v>9006.5005</v>
      </c>
    </row>
    <row r="32" spans="1:4" s="3" customFormat="1" ht="21.75" customHeight="1">
      <c r="A32" s="2"/>
      <c r="B32" s="13" t="s">
        <v>11</v>
      </c>
      <c r="C32" s="34">
        <f>15000000/1000</f>
        <v>15000</v>
      </c>
      <c r="D32" s="34">
        <f>13175000/1000</f>
        <v>13175</v>
      </c>
    </row>
    <row r="33" spans="1:4" s="3" customFormat="1" ht="21.75" customHeight="1">
      <c r="A33" s="2"/>
      <c r="B33" s="13" t="s">
        <v>10</v>
      </c>
      <c r="C33" s="34">
        <f>1040215.71/1000</f>
        <v>1040.21571</v>
      </c>
      <c r="D33" s="34">
        <f>158987.11/1000</f>
        <v>158.98710999999997</v>
      </c>
    </row>
    <row r="34" spans="1:4" s="3" customFormat="1" ht="21.75" customHeight="1">
      <c r="A34" s="2"/>
      <c r="B34" s="13" t="s">
        <v>65</v>
      </c>
      <c r="C34" s="34">
        <f>1134930.99/1000</f>
        <v>1134.93099</v>
      </c>
      <c r="D34" s="34">
        <f>667386.83/1000</f>
        <v>667.3868299999999</v>
      </c>
    </row>
    <row r="35" spans="1:4" s="3" customFormat="1" ht="21.75" customHeight="1">
      <c r="A35" s="2"/>
      <c r="B35" s="13" t="s">
        <v>63</v>
      </c>
      <c r="C35" s="34">
        <f>(30789.75+27419.4)/1000</f>
        <v>58.20915</v>
      </c>
      <c r="D35" s="34">
        <f>52898.88/1000</f>
        <v>52.89888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33787.856790000005</v>
      </c>
      <c r="D37" s="35">
        <f>SUM(D29:D36)</f>
        <v>23354.31415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5" s="3" customFormat="1" ht="21.75" customHeight="1">
      <c r="A39" s="2"/>
      <c r="B39" s="13" t="s">
        <v>68</v>
      </c>
      <c r="C39" s="34">
        <f>28796730.92/1000</f>
        <v>28796.73092</v>
      </c>
      <c r="D39" s="34">
        <f>13283585.1/1000</f>
        <v>13283.5851</v>
      </c>
      <c r="E39" s="39"/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f>(121198.1)/1000</f>
        <v>121.19810000000001</v>
      </c>
      <c r="D44" s="34">
        <f>(296697.9)/1000</f>
        <v>296.6979</v>
      </c>
    </row>
    <row r="45" spans="1:4" s="3" customFormat="1" ht="21.75" customHeight="1">
      <c r="A45" s="2"/>
      <c r="B45" s="13" t="s">
        <v>63</v>
      </c>
      <c r="C45" s="34"/>
      <c r="D45" s="34"/>
    </row>
    <row r="46" spans="1:4" s="5" customFormat="1" ht="21.75" customHeight="1">
      <c r="A46" s="4"/>
      <c r="B46" s="12" t="s">
        <v>14</v>
      </c>
      <c r="C46" s="24">
        <f>SUM(C39:C45)</f>
        <v>28917.929020000003</v>
      </c>
      <c r="D46" s="24">
        <f>SUM(D39:D45)</f>
        <v>13580.283</v>
      </c>
    </row>
    <row r="47" spans="1:4" s="5" customFormat="1" ht="21.75" customHeight="1">
      <c r="A47" s="4"/>
      <c r="B47" s="12" t="s">
        <v>16</v>
      </c>
      <c r="C47" s="24">
        <f>+C37+C46</f>
        <v>62705.78581000001</v>
      </c>
      <c r="D47" s="24">
        <f>+D37+D46</f>
        <v>36934.59715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(1708876.3)/1000</f>
        <v>1708.8763000000001</v>
      </c>
      <c r="D52" s="23">
        <f>(1420913.16)/1000</f>
        <v>1420.9131599999998</v>
      </c>
    </row>
    <row r="53" spans="1:4" s="3" customFormat="1" ht="21.75" customHeight="1">
      <c r="A53" s="2"/>
      <c r="B53" s="13" t="s">
        <v>20</v>
      </c>
      <c r="C53" s="23">
        <f>594158.17/1000</f>
        <v>594.15817</v>
      </c>
      <c r="D53" s="23">
        <f>304096.72/1000</f>
        <v>304.09671999999995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(1496180.34)/1000</f>
        <v>1496.1803400000001</v>
      </c>
      <c r="D56" s="23">
        <f>(1822316.92)/1000</f>
        <v>1822.31692</v>
      </c>
    </row>
    <row r="57" spans="1:4" s="3" customFormat="1" ht="21.75" customHeight="1">
      <c r="A57" s="2"/>
      <c r="B57" s="13" t="s">
        <v>70</v>
      </c>
      <c r="C57" s="23">
        <f>708226.32/1000</f>
        <v>708.22632</v>
      </c>
      <c r="D57" s="23">
        <f>377490.17/1000</f>
        <v>377.49017</v>
      </c>
    </row>
    <row r="58" spans="1:4" s="5" customFormat="1" ht="21.75" customHeight="1">
      <c r="A58" s="4"/>
      <c r="B58" s="12" t="s">
        <v>22</v>
      </c>
      <c r="C58" s="24">
        <f>SUM(C50:C57)</f>
        <v>19207.54113</v>
      </c>
      <c r="D58" s="24">
        <f>SUM(D50:D57)</f>
        <v>18624.916970000002</v>
      </c>
    </row>
    <row r="59" spans="1:6" s="5" customFormat="1" ht="21.75" customHeight="1">
      <c r="A59" s="4"/>
      <c r="B59" s="12" t="s">
        <v>23</v>
      </c>
      <c r="C59" s="24">
        <f>+C47+C58</f>
        <v>81913.32694000001</v>
      </c>
      <c r="D59" s="24">
        <f>+D47+D58</f>
        <v>55559.51412000001</v>
      </c>
      <c r="E59" s="31">
        <f>+C26-C59</f>
        <v>9.99998883344233E-06</v>
      </c>
      <c r="F59" s="31">
        <f>+D59-D26</f>
        <v>0</v>
      </c>
    </row>
    <row r="60" spans="2:4" s="2" customFormat="1" ht="21.75" customHeight="1">
      <c r="B60" s="29" t="s">
        <v>24</v>
      </c>
      <c r="C60" s="30">
        <f>+C4</f>
        <v>2013</v>
      </c>
      <c r="D60" s="30">
        <f>+D4</f>
        <v>2012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3065404.79/1000</f>
        <v>3065.40479</v>
      </c>
      <c r="D62" s="23">
        <f>1848157.21/1000</f>
        <v>1848.1572099999998</v>
      </c>
    </row>
    <row r="63" spans="1:4" s="7" customFormat="1" ht="21.75" customHeight="1">
      <c r="A63" s="2"/>
      <c r="B63" s="13" t="s">
        <v>25</v>
      </c>
      <c r="C63" s="23">
        <f>66247.83/1000</f>
        <v>66.24783000000001</v>
      </c>
      <c r="D63" s="23">
        <v>0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-880769.67/1000</f>
        <v>-880.76967</v>
      </c>
      <c r="D65" s="24">
        <f>-507482.32/1000</f>
        <v>-507.48232</v>
      </c>
    </row>
    <row r="66" spans="1:4" s="8" customFormat="1" ht="21.75" customHeight="1">
      <c r="A66" s="4"/>
      <c r="B66" s="12" t="s">
        <v>72</v>
      </c>
      <c r="C66" s="24">
        <f>+C62+C65+C63</f>
        <v>2250.8829499999997</v>
      </c>
      <c r="D66" s="24">
        <f>+D62+D65+D63</f>
        <v>1340.6748899999998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(-1189390.09+26949.97)/1000</f>
        <v>-1162.4401200000002</v>
      </c>
      <c r="D70" s="23">
        <f>(-785786.98+41635.36)/1000</f>
        <v>-744.15162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f>(-26949.97)/1000</f>
        <v>-26.94997</v>
      </c>
      <c r="D72" s="23">
        <f>(-41635.36)/1000</f>
        <v>-41.63536</v>
      </c>
    </row>
    <row r="73" spans="1:4" s="8" customFormat="1" ht="21.75" customHeight="1">
      <c r="A73" s="4"/>
      <c r="B73" s="12" t="s">
        <v>75</v>
      </c>
      <c r="C73" s="24">
        <f>SUM(C66:C72)</f>
        <v>1061.4928599999996</v>
      </c>
      <c r="D73" s="24">
        <f>SUM(D66:D72)</f>
        <v>554.8879099999998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f>-21596.12/1000</f>
        <v>-21.59612</v>
      </c>
      <c r="D77" s="23">
        <v>0</v>
      </c>
    </row>
    <row r="78" spans="1:4" s="8" customFormat="1" ht="21.75" customHeight="1">
      <c r="A78" s="4"/>
      <c r="B78" s="12" t="s">
        <v>78</v>
      </c>
      <c r="C78" s="24">
        <f>SUM(C73:C77)</f>
        <v>1039.8967399999997</v>
      </c>
      <c r="D78" s="24">
        <f>SUM(D73:D77)</f>
        <v>554.8879099999998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-331670.42/1000</f>
        <v>-331.67042</v>
      </c>
      <c r="D81" s="23">
        <f>-177397.74/1000</f>
        <v>-177.39774</v>
      </c>
    </row>
    <row r="82" spans="1:6" s="8" customFormat="1" ht="21.75" customHeight="1">
      <c r="A82" s="4"/>
      <c r="B82" s="12" t="s">
        <v>79</v>
      </c>
      <c r="C82" s="24">
        <f>SUM(C78:C81)</f>
        <v>708.2263199999998</v>
      </c>
      <c r="D82" s="24">
        <f>SUM(D78:D81)</f>
        <v>377.4901699999998</v>
      </c>
      <c r="E82" s="8">
        <f>+C82-C57</f>
        <v>0</v>
      </c>
      <c r="F82" s="8">
        <f>+D82-D57</f>
        <v>0</v>
      </c>
    </row>
    <row r="83" spans="2:4" s="2" customFormat="1" ht="21.75" customHeight="1">
      <c r="B83" s="29" t="s">
        <v>33</v>
      </c>
      <c r="C83" s="30">
        <f>+C4</f>
        <v>2013</v>
      </c>
      <c r="D83" s="30">
        <f>+D4</f>
        <v>2012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0.9242153334579702</v>
      </c>
      <c r="D85" s="25">
        <f>+D16/D37</f>
        <v>0.9655946800732748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3.2646440991898062</v>
      </c>
      <c r="D87" s="25">
        <f>+D47/D58</f>
        <v>1.9830744593112672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0.038283921716774104</v>
      </c>
      <c r="D89" s="25">
        <f>+D82/(D58-D57)</f>
        <v>0.020687309730706784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0.008646045110978122</v>
      </c>
      <c r="D91" s="25">
        <f>+D57/D26</f>
        <v>0.0067943389350864246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0.04817833348072462</v>
      </c>
      <c r="D93" s="25">
        <f>+D57/D50</f>
        <v>0.025679428711369308</v>
      </c>
    </row>
    <row r="94" spans="2:4" s="2" customFormat="1" ht="21.75" customHeight="1">
      <c r="B94" s="13" t="s">
        <v>44</v>
      </c>
      <c r="C94" s="25">
        <f>(+C56+C57)/C50</f>
        <v>0.1499586166080503</v>
      </c>
      <c r="D94" s="25">
        <f>(+D56+D57)/D50</f>
        <v>0.1496457228182121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19207541.13/147001</f>
        <v>130.66265624043373</v>
      </c>
      <c r="D96" s="26">
        <f>18624916.97/147001</f>
        <v>126.6992535424929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3:D3"/>
    <mergeCell ref="B2:D2"/>
    <mergeCell ref="B1:D1"/>
  </mergeCells>
  <printOptions horizontalCentered="1"/>
  <pageMargins left="0.5905511811023623" right="0.5905511811023623" top="0.53" bottom="0.5905511811023623" header="0.15748031496062992" footer="0.5511811023622047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Cesar Artiga</cp:lastModifiedBy>
  <cp:lastPrinted>2013-01-29T20:47:23Z</cp:lastPrinted>
  <dcterms:created xsi:type="dcterms:W3CDTF">2003-09-25T21:59:06Z</dcterms:created>
  <dcterms:modified xsi:type="dcterms:W3CDTF">2013-07-16T20:34:59Z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